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24519"/>
</workbook>
</file>

<file path=xl/calcChain.xml><?xml version="1.0" encoding="utf-8"?>
<calcChain xmlns="http://schemas.openxmlformats.org/spreadsheetml/2006/main">
  <c r="J23" i="2"/>
  <c r="J22"/>
  <c r="I23"/>
  <c r="I22"/>
  <c r="H23"/>
  <c r="H22"/>
  <c r="G23"/>
  <c r="G22"/>
  <c r="F23"/>
  <c r="F20"/>
  <c r="F19"/>
  <c r="J14"/>
  <c r="I14"/>
  <c r="H14"/>
  <c r="G14"/>
  <c r="F14"/>
  <c r="F16"/>
  <c r="F11"/>
  <c r="F12"/>
  <c r="J7"/>
  <c r="J6"/>
  <c r="I7"/>
  <c r="I6"/>
  <c r="H7"/>
  <c r="H6"/>
  <c r="G7"/>
  <c r="G6"/>
  <c r="F6"/>
  <c r="F9"/>
  <c r="F4"/>
  <c r="J22" i="1"/>
  <c r="I22"/>
  <c r="H22"/>
  <c r="G22"/>
  <c r="J17"/>
  <c r="I17"/>
  <c r="H17"/>
  <c r="G17"/>
  <c r="F22"/>
  <c r="F17"/>
  <c r="F20"/>
  <c r="F19"/>
  <c r="J23"/>
  <c r="I23"/>
  <c r="H23"/>
  <c r="G23"/>
  <c r="F4"/>
  <c r="F9"/>
  <c r="F6"/>
  <c r="J16" i="2" l="1"/>
  <c r="I16"/>
  <c r="H16"/>
  <c r="G16"/>
  <c r="J15"/>
  <c r="I15"/>
  <c r="H15"/>
  <c r="G15"/>
  <c r="G11"/>
  <c r="F18"/>
  <c r="F8"/>
  <c r="J19" i="1"/>
  <c r="I19"/>
  <c r="H19"/>
  <c r="G19"/>
  <c r="G15"/>
  <c r="J12"/>
  <c r="I12"/>
  <c r="H12"/>
  <c r="G12"/>
  <c r="J7"/>
  <c r="I7"/>
  <c r="H7"/>
  <c r="G7"/>
  <c r="F8"/>
  <c r="F13"/>
  <c r="F12"/>
  <c r="F14"/>
  <c r="J9" i="2" l="1"/>
  <c r="I9"/>
  <c r="H9"/>
  <c r="G9"/>
  <c r="J10"/>
  <c r="I10"/>
  <c r="H10"/>
  <c r="J9" i="1"/>
  <c r="I9"/>
  <c r="H9"/>
  <c r="G9"/>
  <c r="J6"/>
  <c r="I6"/>
  <c r="H6"/>
  <c r="G6"/>
  <c r="F10" i="2" l="1"/>
  <c r="G10"/>
  <c r="F24" i="1"/>
  <c r="F16"/>
  <c r="F10" l="1"/>
  <c r="G24" i="2"/>
  <c r="I24" l="1"/>
  <c r="F24"/>
  <c r="H17"/>
  <c r="H24"/>
  <c r="I17"/>
  <c r="J24"/>
  <c r="J17"/>
  <c r="F17"/>
  <c r="G17"/>
  <c r="J24" i="1"/>
  <c r="I24"/>
  <c r="H24"/>
  <c r="G24"/>
  <c r="J16"/>
  <c r="I16"/>
  <c r="H16"/>
  <c r="G16"/>
  <c r="G10"/>
  <c r="J10"/>
  <c r="H10"/>
  <c r="I10" l="1"/>
</calcChain>
</file>

<file path=xl/sharedStrings.xml><?xml version="1.0" encoding="utf-8"?>
<sst xmlns="http://schemas.openxmlformats.org/spreadsheetml/2006/main" count="134" uniqueCount="59">
  <si>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</si>
  <si>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</si>
  <si>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</si>
  <si>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</si>
  <si>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</si>
  <si>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</si>
  <si>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</si>
  <si>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</si>
  <si>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</si>
  <si>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</si>
  <si>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</si>
  <si>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</si>
  <si>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</si>
  <si>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</si>
  <si>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</si>
  <si>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</si>
  <si>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</si>
  <si>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</si>
  <si>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</si>
  <si>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</si>
  <si>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</si>
  <si>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</si>
  <si>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</si>
  <si>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</si>
  <si>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</si>
  <si>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</si>
  <si>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</si>
  <si>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</si>
  <si>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</si>
  <si>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</si>
  <si>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</si>
  <si>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</si>
  <si>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</si>
  <si>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"___"_____2021</t>
  </si>
  <si>
    <t>Зав.производством _________________________________</t>
  </si>
  <si>
    <t>Бухгалтер калькулятор _______________________________</t>
  </si>
  <si>
    <t>МБОУ БСШ №4 им. Героя Советского союза П. Р. Мурашова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</si>
  <si>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</si>
  <si>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</si>
  <si>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</si>
  <si>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</si>
  <si>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</si>
  <si>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Кофейный напиток</t>
  </si>
  <si>
    <t>Яйцо вареное</t>
  </si>
  <si>
    <t>Вафли Яшкино</t>
  </si>
  <si>
    <t>Рассольник ленинградский со сметаной</t>
  </si>
  <si>
    <t>Котлета мясная</t>
  </si>
  <si>
    <t>Макароны отварные с овощами</t>
  </si>
  <si>
    <t>240/5/5</t>
  </si>
  <si>
    <t>Рассольник ленинградский со сметаной с мясом</t>
  </si>
  <si>
    <t>30</t>
  </si>
  <si>
    <t>170/50</t>
  </si>
  <si>
    <t>Икра морковная</t>
  </si>
  <si>
    <t>80</t>
  </si>
  <si>
    <t>31</t>
  </si>
  <si>
    <t>100/50</t>
  </si>
  <si>
    <t>Творожное печенье</t>
  </si>
  <si>
    <t>50</t>
  </si>
  <si>
    <t>45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</si>
</sst>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8"/>
  <sheetViews>
    <sheetView tabSelected="1" topLeftCell="A25" workbookViewId="0">
      <selection activeCell="A25" sqref="A25:J47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0" bestFit="1" customWidth="1"/>
    <col min="6" max="6" width="9.554687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98" t="s">
        <v>36</v>
      </c>
      <c r="C1" s="99"/>
      <c r="D1" s="100"/>
      <c r="E1" s="30" t="s">
        <v>32</v>
      </c>
      <c r="F1" s="29"/>
      <c r="H1" s="1" t="s">
        <v>1</v>
      </c>
      <c r="I1" s="28" t="s">
        <v>33</v>
      </c>
    </row>
    <row r="2" spans="1:10" ht="15" thickBot="1">
      <c r="B2" s="2" t="s">
        <v>30</v>
      </c>
    </row>
    <row r="3" spans="1:10" s="36" customFormat="1" ht="29.4" thickBot="1">
      <c r="A3" s="32" t="s">
        <v>2</v>
      </c>
      <c r="B3" s="33" t="s">
        <v>3</v>
      </c>
      <c r="C3" s="33" t="s">
        <v>21</v>
      </c>
      <c r="D3" s="33" t="s">
        <v>4</v>
      </c>
      <c r="E3" s="37" t="s">
        <v>22</v>
      </c>
      <c r="F3" s="37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>
      <c r="A4" s="3" t="s">
        <v>10</v>
      </c>
      <c r="B4" s="64" t="s">
        <v>11</v>
      </c>
      <c r="C4" s="65">
        <v>39</v>
      </c>
      <c r="D4" s="66" t="s">
        <v>38</v>
      </c>
      <c r="E4" s="46" t="s">
        <v>51</v>
      </c>
      <c r="F4" s="39">
        <f>10.15*170/180+11.59*50/40</f>
        <v>24.073611111111113</v>
      </c>
      <c r="G4" s="7">
        <v>283</v>
      </c>
      <c r="H4" s="7">
        <v>13.43</v>
      </c>
      <c r="I4" s="7">
        <v>17.52</v>
      </c>
      <c r="J4" s="8">
        <v>16.059999999999999</v>
      </c>
    </row>
    <row r="5" spans="1:10">
      <c r="A5" s="9"/>
      <c r="B5" s="69" t="s">
        <v>12</v>
      </c>
      <c r="C5" s="70">
        <v>57</v>
      </c>
      <c r="D5" s="71" t="s">
        <v>39</v>
      </c>
      <c r="E5" s="40">
        <v>200</v>
      </c>
      <c r="F5" s="41">
        <v>1.01</v>
      </c>
      <c r="G5" s="13">
        <v>41</v>
      </c>
      <c r="H5" s="13">
        <v>0</v>
      </c>
      <c r="I5" s="13">
        <v>0</v>
      </c>
      <c r="J5" s="14">
        <v>10.01</v>
      </c>
    </row>
    <row r="6" spans="1:10">
      <c r="A6" s="9"/>
      <c r="B6" s="69" t="s">
        <v>19</v>
      </c>
      <c r="C6" s="70" t="s">
        <v>23</v>
      </c>
      <c r="D6" s="71" t="s">
        <v>24</v>
      </c>
      <c r="E6" s="40">
        <v>36</v>
      </c>
      <c r="F6" s="41">
        <f>45.14*0.036</f>
        <v>1.6250399999999998</v>
      </c>
      <c r="G6" s="13">
        <f>40*36/20</f>
        <v>72</v>
      </c>
      <c r="H6" s="13">
        <f>0.98*36/20</f>
        <v>1.764</v>
      </c>
      <c r="I6" s="13">
        <f>0.2*36/20</f>
        <v>0.36</v>
      </c>
      <c r="J6" s="14">
        <f>8.95*36/20</f>
        <v>16.11</v>
      </c>
    </row>
    <row r="7" spans="1:10">
      <c r="A7" s="9"/>
      <c r="B7" s="75"/>
      <c r="C7" s="70" t="s">
        <v>23</v>
      </c>
      <c r="D7" s="71" t="s">
        <v>28</v>
      </c>
      <c r="E7" s="40">
        <v>37</v>
      </c>
      <c r="F7" s="41">
        <v>2.14</v>
      </c>
      <c r="G7" s="13">
        <f>41.6*37/20</f>
        <v>76.960000000000008</v>
      </c>
      <c r="H7" s="13">
        <f>1.6*37/20</f>
        <v>2.96</v>
      </c>
      <c r="I7" s="13">
        <f>0.03*37/20</f>
        <v>5.5499999999999994E-2</v>
      </c>
      <c r="J7" s="14">
        <f>8.02*37/20</f>
        <v>14.837</v>
      </c>
    </row>
    <row r="8" spans="1:10">
      <c r="A8" s="9"/>
      <c r="B8" s="76" t="s">
        <v>25</v>
      </c>
      <c r="C8" s="77" t="s">
        <v>23</v>
      </c>
      <c r="D8" s="78" t="s">
        <v>56</v>
      </c>
      <c r="E8" s="42">
        <v>76</v>
      </c>
      <c r="F8" s="43">
        <f>114.6*0.076</f>
        <v>8.7096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>
      <c r="A9" s="10"/>
      <c r="B9" s="75"/>
      <c r="C9" s="70">
        <v>3</v>
      </c>
      <c r="D9" s="71" t="s">
        <v>41</v>
      </c>
      <c r="E9" s="40">
        <v>15</v>
      </c>
      <c r="F9" s="41">
        <f>736.4*0.015</f>
        <v>11.045999999999999</v>
      </c>
      <c r="G9" s="13">
        <f>64.7*1.5</f>
        <v>97.050000000000011</v>
      </c>
      <c r="H9" s="13">
        <f>0.08*1.5</f>
        <v>0.12</v>
      </c>
      <c r="I9" s="13">
        <f>7.15*1.5</f>
        <v>10.725000000000001</v>
      </c>
      <c r="J9" s="13">
        <f>0.12*1.5</f>
        <v>0.18</v>
      </c>
    </row>
    <row r="10" spans="1:10" ht="15" thickBot="1">
      <c r="A10" s="9"/>
      <c r="B10" s="22"/>
      <c r="C10" s="23"/>
      <c r="D10" s="24"/>
      <c r="E10" s="44"/>
      <c r="F10" s="45">
        <f>SUM(F4:F9)</f>
        <v>48.604251111111111</v>
      </c>
      <c r="G10" s="25">
        <f>SUM(G4:G8)</f>
        <v>762.44</v>
      </c>
      <c r="H10" s="25">
        <f>SUM(H4:H8)</f>
        <v>25.213999999999999</v>
      </c>
      <c r="I10" s="25">
        <f>SUM(I4:I8)</f>
        <v>37.695499999999996</v>
      </c>
      <c r="J10" s="25">
        <f>SUM(J4:J8)</f>
        <v>64.076999999999998</v>
      </c>
    </row>
    <row r="11" spans="1:10">
      <c r="A11" s="3" t="s">
        <v>26</v>
      </c>
      <c r="B11" s="4"/>
      <c r="C11" s="5">
        <v>2</v>
      </c>
      <c r="D11" s="6" t="s">
        <v>42</v>
      </c>
      <c r="E11" s="38">
        <v>200</v>
      </c>
      <c r="F11" s="39">
        <v>10.28</v>
      </c>
      <c r="G11" s="7">
        <v>100</v>
      </c>
      <c r="H11" s="7">
        <v>3.9</v>
      </c>
      <c r="I11" s="7">
        <v>3</v>
      </c>
      <c r="J11" s="8">
        <v>15.28</v>
      </c>
    </row>
    <row r="12" spans="1:10">
      <c r="A12" s="21"/>
      <c r="B12" s="15"/>
      <c r="C12" s="11">
        <v>3</v>
      </c>
      <c r="D12" s="12" t="s">
        <v>41</v>
      </c>
      <c r="E12" s="40">
        <v>10</v>
      </c>
      <c r="F12" s="41">
        <f>736.4*0.01</f>
        <v>7.3639999999999999</v>
      </c>
      <c r="G12" s="13">
        <f>64.7</f>
        <v>64.7</v>
      </c>
      <c r="H12" s="13">
        <f>0.08</f>
        <v>0.08</v>
      </c>
      <c r="I12" s="13">
        <f>7.15</f>
        <v>7.15</v>
      </c>
      <c r="J12" s="13">
        <f>0.12</f>
        <v>0.12</v>
      </c>
    </row>
    <row r="13" spans="1:10">
      <c r="A13" s="21"/>
      <c r="B13" s="16"/>
      <c r="C13" s="17">
        <v>38</v>
      </c>
      <c r="D13" s="18" t="s">
        <v>43</v>
      </c>
      <c r="E13" s="42">
        <v>50</v>
      </c>
      <c r="F13" s="43">
        <f>6.91</f>
        <v>6.91</v>
      </c>
      <c r="G13" s="19">
        <v>63</v>
      </c>
      <c r="H13" s="19">
        <v>5.0999999999999996</v>
      </c>
      <c r="I13" s="19">
        <v>4.5999999999999996</v>
      </c>
      <c r="J13" s="13">
        <v>0.3</v>
      </c>
    </row>
    <row r="14" spans="1:10">
      <c r="A14" s="21"/>
      <c r="B14" s="16"/>
      <c r="C14" s="17" t="s">
        <v>23</v>
      </c>
      <c r="D14" s="18" t="s">
        <v>44</v>
      </c>
      <c r="E14" s="42">
        <v>40</v>
      </c>
      <c r="F14" s="43">
        <f>234.72*0.04</f>
        <v>9.3887999999999998</v>
      </c>
      <c r="G14" s="19">
        <v>95.34</v>
      </c>
      <c r="H14" s="19">
        <v>1.61</v>
      </c>
      <c r="I14" s="19">
        <v>2.1</v>
      </c>
      <c r="J14" s="13">
        <v>17.510000000000002</v>
      </c>
    </row>
    <row r="15" spans="1:10">
      <c r="A15" s="21"/>
      <c r="B15" s="16"/>
      <c r="C15" s="17" t="s">
        <v>23</v>
      </c>
      <c r="D15" s="18" t="s">
        <v>28</v>
      </c>
      <c r="E15" s="42">
        <v>43</v>
      </c>
      <c r="F15" s="43">
        <v>2.5</v>
      </c>
      <c r="G15" s="19">
        <f>41.6</f>
        <v>41.6</v>
      </c>
      <c r="H15" s="19">
        <v>1.6</v>
      </c>
      <c r="I15" s="19">
        <v>0.03</v>
      </c>
      <c r="J15" s="13">
        <v>8.02</v>
      </c>
    </row>
    <row r="16" spans="1:10" ht="15" thickBot="1">
      <c r="A16" s="31"/>
      <c r="B16" s="16"/>
      <c r="C16" s="17"/>
      <c r="D16" s="18"/>
      <c r="E16" s="42"/>
      <c r="F16" s="43">
        <f>SUM(F11:F15)</f>
        <v>36.442799999999998</v>
      </c>
      <c r="G16" s="19">
        <f>SUM(G11:G12)</f>
        <v>164.7</v>
      </c>
      <c r="H16" s="19">
        <f>SUM(H11:H12)</f>
        <v>3.98</v>
      </c>
      <c r="I16" s="19">
        <f>SUM(I11:I12)</f>
        <v>10.15</v>
      </c>
      <c r="J16" s="19">
        <f>SUM(J11:J12)</f>
        <v>15.399999999999999</v>
      </c>
    </row>
    <row r="17" spans="1:10">
      <c r="A17" s="3" t="s">
        <v>13</v>
      </c>
      <c r="B17" s="4" t="s">
        <v>14</v>
      </c>
      <c r="C17" s="5">
        <v>59</v>
      </c>
      <c r="D17" s="6" t="s">
        <v>52</v>
      </c>
      <c r="E17" s="46" t="s">
        <v>57</v>
      </c>
      <c r="F17" s="39">
        <f>3.97*50/60</f>
        <v>3.3083333333333331</v>
      </c>
      <c r="G17" s="7">
        <f>79.2*50/60</f>
        <v>66</v>
      </c>
      <c r="H17" s="7">
        <f>1.38*50/60</f>
        <v>1.1499999999999999</v>
      </c>
      <c r="I17" s="7">
        <f>4.08*50/60</f>
        <v>3.4</v>
      </c>
      <c r="J17" s="8">
        <f>9.24*50/60</f>
        <v>7.7</v>
      </c>
    </row>
    <row r="18" spans="1:10" ht="32.4" customHeight="1">
      <c r="A18" s="9"/>
      <c r="B18" s="10" t="s">
        <v>15</v>
      </c>
      <c r="C18" s="11">
        <v>28</v>
      </c>
      <c r="D18" s="12" t="s">
        <v>45</v>
      </c>
      <c r="E18" s="47" t="s">
        <v>31</v>
      </c>
      <c r="F18" s="41">
        <v>10.64</v>
      </c>
      <c r="G18" s="13">
        <v>148.25</v>
      </c>
      <c r="H18" s="13">
        <v>2.2200000000000002</v>
      </c>
      <c r="I18" s="13">
        <v>6.35</v>
      </c>
      <c r="J18" s="14">
        <v>20.66</v>
      </c>
    </row>
    <row r="19" spans="1:10">
      <c r="A19" s="9"/>
      <c r="B19" s="10" t="s">
        <v>16</v>
      </c>
      <c r="C19" s="11">
        <v>58</v>
      </c>
      <c r="D19" s="12" t="s">
        <v>46</v>
      </c>
      <c r="E19" s="47" t="s">
        <v>53</v>
      </c>
      <c r="F19" s="41">
        <f>38.76*80/90</f>
        <v>34.453333333333333</v>
      </c>
      <c r="G19" s="13">
        <f>257.4*80/90</f>
        <v>228.8</v>
      </c>
      <c r="H19" s="13">
        <f>16.02*80/90</f>
        <v>14.239999999999998</v>
      </c>
      <c r="I19" s="13">
        <f>15.75*80/90</f>
        <v>14</v>
      </c>
      <c r="J19" s="14">
        <f>12.87*80/90</f>
        <v>11.44</v>
      </c>
    </row>
    <row r="20" spans="1:10" ht="28.8">
      <c r="A20" s="9"/>
      <c r="B20" s="10" t="s">
        <v>17</v>
      </c>
      <c r="C20" s="11">
        <v>16</v>
      </c>
      <c r="D20" s="12" t="s">
        <v>47</v>
      </c>
      <c r="E20" s="47" t="s">
        <v>55</v>
      </c>
      <c r="F20" s="41">
        <f>4.24*100/75+7.68*50/75</f>
        <v>10.773333333333333</v>
      </c>
      <c r="G20" s="13">
        <v>150</v>
      </c>
      <c r="H20" s="13">
        <v>3.24</v>
      </c>
      <c r="I20" s="13">
        <v>7.58</v>
      </c>
      <c r="J20" s="14">
        <v>18.87</v>
      </c>
    </row>
    <row r="21" spans="1:10">
      <c r="A21" s="9"/>
      <c r="B21" s="10" t="s">
        <v>27</v>
      </c>
      <c r="C21" s="11">
        <v>25</v>
      </c>
      <c r="D21" s="12" t="s">
        <v>29</v>
      </c>
      <c r="E21" s="47">
        <v>200</v>
      </c>
      <c r="F21" s="41">
        <v>10.55</v>
      </c>
      <c r="G21" s="13">
        <v>136</v>
      </c>
      <c r="H21" s="13">
        <v>0.6</v>
      </c>
      <c r="I21" s="13">
        <v>0</v>
      </c>
      <c r="J21" s="14">
        <v>33</v>
      </c>
    </row>
    <row r="22" spans="1:10">
      <c r="A22" s="9"/>
      <c r="B22" s="10" t="s">
        <v>20</v>
      </c>
      <c r="C22" s="11" t="s">
        <v>23</v>
      </c>
      <c r="D22" s="12" t="s">
        <v>28</v>
      </c>
      <c r="E22" s="47" t="s">
        <v>54</v>
      </c>
      <c r="F22" s="41">
        <f>58.5*0.031</f>
        <v>1.8134999999999999</v>
      </c>
      <c r="G22" s="13">
        <f>62.4*31/30</f>
        <v>64.47999999999999</v>
      </c>
      <c r="H22" s="13">
        <f>2.4*31/30</f>
        <v>2.4799999999999995</v>
      </c>
      <c r="I22" s="13">
        <f>0.45*31/30</f>
        <v>0.46500000000000002</v>
      </c>
      <c r="J22" s="14">
        <f>11.37*31/30</f>
        <v>11.748999999999999</v>
      </c>
    </row>
    <row r="23" spans="1:10">
      <c r="A23" s="9"/>
      <c r="B23" s="26" t="s">
        <v>18</v>
      </c>
      <c r="C23" s="17" t="s">
        <v>23</v>
      </c>
      <c r="D23" s="18" t="s">
        <v>24</v>
      </c>
      <c r="E23" s="48" t="s">
        <v>54</v>
      </c>
      <c r="F23" s="43">
        <v>1.36</v>
      </c>
      <c r="G23" s="19">
        <f>60*31/30</f>
        <v>62</v>
      </c>
      <c r="H23" s="19">
        <f>1.47*31/30</f>
        <v>1.5189999999999999</v>
      </c>
      <c r="I23" s="19">
        <f>0.3*31/30</f>
        <v>0.30999999999999994</v>
      </c>
      <c r="J23" s="20">
        <f>13.44*31/30</f>
        <v>13.888</v>
      </c>
    </row>
    <row r="24" spans="1:10">
      <c r="A24" s="10"/>
      <c r="B24" s="15"/>
      <c r="C24" s="10"/>
      <c r="D24" s="10"/>
      <c r="E24" s="49"/>
      <c r="F24" s="50">
        <f>SUM(F17:F23)</f>
        <v>72.898500000000013</v>
      </c>
      <c r="G24" s="27">
        <f>SUM(G17:G23)</f>
        <v>855.53</v>
      </c>
      <c r="H24" s="27">
        <f>SUM(H17:H23)</f>
        <v>25.449000000000002</v>
      </c>
      <c r="I24" s="27">
        <f>SUM(I17:I23)</f>
        <v>32.104999999999997</v>
      </c>
      <c r="J24" s="27">
        <f>SUM(J17:J23)</f>
        <v>117.307</v>
      </c>
    </row>
    <row r="25" spans="1:10">
      <c r="A25" s="51" t="s">
        <v>34</v>
      </c>
      <c r="E25" s="53"/>
      <c r="F25" s="52"/>
      <c r="G25" s="52"/>
      <c r="H25" s="52"/>
      <c r="I25" s="52"/>
      <c r="J25" s="52"/>
    </row>
    <row r="26" spans="1:10">
      <c r="A26" s="51" t="s">
        <v>35</v>
      </c>
    </row>
    <row r="41" spans="1:10" ht="33" customHeight="1"/>
    <row r="48" spans="1:10" s="52" customFormat="1">
      <c r="A48" s="1"/>
      <c r="B48" s="1"/>
      <c r="C48" s="1"/>
      <c r="D48" s="1"/>
      <c r="E48" s="30"/>
      <c r="F48" s="1"/>
      <c r="G48" s="1"/>
      <c r="H48" s="1"/>
      <c r="I48" s="1"/>
      <c r="J48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B1" sqref="B1:D1"/>
    </sheetView>
  </sheetViews>
  <sheetFormatPr defaultColWidth="8.88671875" defaultRowHeight="14.4"/>
  <cols>
    <col min="1" max="1" width="11.6640625" style="52" bestFit="1" customWidth="1"/>
    <col min="2" max="2" width="11.5546875" style="52" customWidth="1"/>
    <col min="3" max="3" width="7.109375" style="52" bestFit="1" customWidth="1"/>
    <col min="4" max="4" width="24.6640625" style="52" bestFit="1" customWidth="1"/>
    <col min="5" max="5" width="8.109375" style="53" bestFit="1" customWidth="1"/>
    <col min="6" max="6" width="5.44140625" style="52" bestFit="1" customWidth="1"/>
    <col min="7" max="7" width="7.6640625" style="52" customWidth="1"/>
    <col min="8" max="8" width="6.109375" style="52" bestFit="1" customWidth="1"/>
    <col min="9" max="9" width="6.5546875" style="52" customWidth="1"/>
    <col min="10" max="10" width="8.5546875" style="52" customWidth="1"/>
    <col min="11" max="16384" width="8.88671875" style="52"/>
  </cols>
  <sheetData>
    <row r="1" spans="1:10" ht="28.95" customHeight="1">
      <c r="A1" s="52" t="s">
        <v>0</v>
      </c>
      <c r="B1" s="101" t="s">
        <v>36</v>
      </c>
      <c r="C1" s="102"/>
      <c r="D1" s="103"/>
      <c r="E1" s="53" t="s">
        <v>32</v>
      </c>
      <c r="F1" s="54"/>
      <c r="H1" s="52" t="s">
        <v>1</v>
      </c>
      <c r="I1" s="55" t="s">
        <v>33</v>
      </c>
    </row>
    <row r="2" spans="1:10" ht="15" thickBot="1">
      <c r="B2" s="56" t="s">
        <v>37</v>
      </c>
    </row>
    <row r="3" spans="1:10" s="62" customFormat="1" ht="29.4" thickBot="1">
      <c r="A3" s="57" t="s">
        <v>2</v>
      </c>
      <c r="B3" s="58" t="s">
        <v>3</v>
      </c>
      <c r="C3" s="58" t="s">
        <v>21</v>
      </c>
      <c r="D3" s="58" t="s">
        <v>4</v>
      </c>
      <c r="E3" s="59" t="s">
        <v>22</v>
      </c>
      <c r="F3" s="59" t="s">
        <v>5</v>
      </c>
      <c r="G3" s="60" t="s">
        <v>6</v>
      </c>
      <c r="H3" s="58" t="s">
        <v>7</v>
      </c>
      <c r="I3" s="58" t="s">
        <v>8</v>
      </c>
      <c r="J3" s="61" t="s">
        <v>9</v>
      </c>
    </row>
    <row r="4" spans="1:10">
      <c r="A4" s="3" t="s">
        <v>10</v>
      </c>
      <c r="B4" s="64" t="s">
        <v>11</v>
      </c>
      <c r="C4" s="65">
        <v>39</v>
      </c>
      <c r="D4" s="66" t="s">
        <v>38</v>
      </c>
      <c r="E4" s="46" t="s">
        <v>51</v>
      </c>
      <c r="F4" s="39">
        <f>16.22*50/40+14.21*170/180</f>
        <v>33.695555555555558</v>
      </c>
      <c r="G4" s="7">
        <v>283</v>
      </c>
      <c r="H4" s="7">
        <v>13.43</v>
      </c>
      <c r="I4" s="7">
        <v>17.52</v>
      </c>
      <c r="J4" s="8">
        <v>16.059999999999999</v>
      </c>
    </row>
    <row r="5" spans="1:10">
      <c r="A5" s="9"/>
      <c r="B5" s="69" t="s">
        <v>12</v>
      </c>
      <c r="C5" s="70">
        <v>57</v>
      </c>
      <c r="D5" s="71" t="s">
        <v>39</v>
      </c>
      <c r="E5" s="40">
        <v>200</v>
      </c>
      <c r="F5" s="41">
        <v>1.41</v>
      </c>
      <c r="G5" s="13">
        <v>41</v>
      </c>
      <c r="H5" s="13">
        <v>0</v>
      </c>
      <c r="I5" s="13">
        <v>0</v>
      </c>
      <c r="J5" s="14">
        <v>10.01</v>
      </c>
    </row>
    <row r="6" spans="1:10">
      <c r="A6" s="9"/>
      <c r="B6" s="69" t="s">
        <v>19</v>
      </c>
      <c r="C6" s="70" t="s">
        <v>23</v>
      </c>
      <c r="D6" s="71" t="s">
        <v>24</v>
      </c>
      <c r="E6" s="40">
        <v>42</v>
      </c>
      <c r="F6" s="41">
        <f>54.17*0.042</f>
        <v>2.2751400000000004</v>
      </c>
      <c r="G6" s="13">
        <f>40*42/20</f>
        <v>84</v>
      </c>
      <c r="H6" s="13">
        <f>0.98*42/20</f>
        <v>2.0579999999999998</v>
      </c>
      <c r="I6" s="13">
        <f>0.2*42/20</f>
        <v>0.42000000000000004</v>
      </c>
      <c r="J6" s="14">
        <f>8.95*42/20</f>
        <v>18.794999999999998</v>
      </c>
    </row>
    <row r="7" spans="1:10">
      <c r="A7" s="9"/>
      <c r="B7" s="75"/>
      <c r="C7" s="70" t="s">
        <v>23</v>
      </c>
      <c r="D7" s="71" t="s">
        <v>28</v>
      </c>
      <c r="E7" s="40">
        <v>43</v>
      </c>
      <c r="F7" s="41">
        <v>2.97</v>
      </c>
      <c r="G7" s="13">
        <f>41.6*42/20</f>
        <v>87.36</v>
      </c>
      <c r="H7" s="13">
        <f>1.6*42/20</f>
        <v>3.3600000000000003</v>
      </c>
      <c r="I7" s="13">
        <f>0.03*42/20</f>
        <v>6.3E-2</v>
      </c>
      <c r="J7" s="14">
        <f>8.02*42/20</f>
        <v>16.841999999999999</v>
      </c>
    </row>
    <row r="8" spans="1:10">
      <c r="A8" s="9"/>
      <c r="B8" s="76" t="s">
        <v>25</v>
      </c>
      <c r="C8" s="77" t="s">
        <v>23</v>
      </c>
      <c r="D8" s="78" t="s">
        <v>40</v>
      </c>
      <c r="E8" s="42">
        <v>76</v>
      </c>
      <c r="F8" s="43">
        <f>114.6*0.076*1.4</f>
        <v>12.193439999999999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>
      <c r="A9" s="10"/>
      <c r="B9" s="75"/>
      <c r="C9" s="70">
        <v>3</v>
      </c>
      <c r="D9" s="71" t="s">
        <v>41</v>
      </c>
      <c r="E9" s="40">
        <v>15</v>
      </c>
      <c r="F9" s="41">
        <f>7.36*1.5*1.4</f>
        <v>15.456</v>
      </c>
      <c r="G9" s="13">
        <f>64.7*1.5</f>
        <v>97.050000000000011</v>
      </c>
      <c r="H9" s="13">
        <f>0.08*1.5</f>
        <v>0.12</v>
      </c>
      <c r="I9" s="13">
        <f>7.15*1.5</f>
        <v>10.725000000000001</v>
      </c>
      <c r="J9" s="13">
        <f>0.12*1.5</f>
        <v>0.18</v>
      </c>
    </row>
    <row r="10" spans="1:10" ht="15" thickBot="1">
      <c r="A10" s="9"/>
      <c r="B10" s="22"/>
      <c r="C10" s="23"/>
      <c r="D10" s="24"/>
      <c r="E10" s="44"/>
      <c r="F10" s="45">
        <f>SUM(F4:F9)</f>
        <v>68.000135555555559</v>
      </c>
      <c r="G10" s="25">
        <f>SUM(G4:G8)</f>
        <v>784.84</v>
      </c>
      <c r="H10" s="25">
        <f>SUM(H4:H8)</f>
        <v>25.907999999999998</v>
      </c>
      <c r="I10" s="25">
        <f>SUM(I4:I8)</f>
        <v>37.763000000000005</v>
      </c>
      <c r="J10" s="25">
        <f>SUM(J4:J8)</f>
        <v>68.766999999999996</v>
      </c>
    </row>
    <row r="11" spans="1:10">
      <c r="A11" s="63"/>
      <c r="B11" s="64" t="s">
        <v>16</v>
      </c>
      <c r="C11" s="65">
        <v>58</v>
      </c>
      <c r="D11" s="66" t="s">
        <v>46</v>
      </c>
      <c r="E11" s="82" t="s">
        <v>53</v>
      </c>
      <c r="F11" s="67">
        <f>54.26*80/90</f>
        <v>48.231111111111112</v>
      </c>
      <c r="G11" s="13">
        <f>257.4</f>
        <v>257.39999999999998</v>
      </c>
      <c r="H11" s="13">
        <v>16.02</v>
      </c>
      <c r="I11" s="13">
        <v>15.75</v>
      </c>
      <c r="J11" s="14">
        <v>12.87</v>
      </c>
    </row>
    <row r="12" spans="1:10" ht="28.8">
      <c r="A12" s="68"/>
      <c r="B12" s="69" t="s">
        <v>17</v>
      </c>
      <c r="C12" s="70">
        <v>16</v>
      </c>
      <c r="D12" s="71" t="s">
        <v>47</v>
      </c>
      <c r="E12" s="83" t="s">
        <v>55</v>
      </c>
      <c r="F12" s="41">
        <f>5.94*100/75+10.75*50/75</f>
        <v>15.086666666666666</v>
      </c>
      <c r="G12" s="13">
        <v>150</v>
      </c>
      <c r="H12" s="13">
        <v>3.24</v>
      </c>
      <c r="I12" s="13">
        <v>7.58</v>
      </c>
      <c r="J12" s="14">
        <v>18.87</v>
      </c>
    </row>
    <row r="13" spans="1:10">
      <c r="A13" s="68"/>
      <c r="B13" s="69" t="s">
        <v>27</v>
      </c>
      <c r="C13" s="70">
        <v>57</v>
      </c>
      <c r="D13" s="71" t="s">
        <v>39</v>
      </c>
      <c r="E13" s="40">
        <v>200</v>
      </c>
      <c r="F13" s="41">
        <v>1.41</v>
      </c>
      <c r="G13" s="13">
        <v>41</v>
      </c>
      <c r="H13" s="13">
        <v>0</v>
      </c>
      <c r="I13" s="13">
        <v>0</v>
      </c>
      <c r="J13" s="14">
        <v>10.01</v>
      </c>
    </row>
    <row r="14" spans="1:10">
      <c r="A14" s="68"/>
      <c r="B14" s="69" t="s">
        <v>25</v>
      </c>
      <c r="C14" s="70" t="s">
        <v>23</v>
      </c>
      <c r="D14" s="71" t="s">
        <v>44</v>
      </c>
      <c r="E14" s="40">
        <v>20</v>
      </c>
      <c r="F14" s="41">
        <f>234.72*1.4*0.029</f>
        <v>9.5296320000000012</v>
      </c>
      <c r="G14" s="13">
        <f>190.76*20/60</f>
        <v>63.586666666666666</v>
      </c>
      <c r="H14" s="13">
        <f>3.22*20/60</f>
        <v>1.0733333333333335</v>
      </c>
      <c r="I14" s="13">
        <f>4.2*20/60</f>
        <v>1.4</v>
      </c>
      <c r="J14" s="14">
        <f>35.02*20/60</f>
        <v>11.673333333333336</v>
      </c>
    </row>
    <row r="15" spans="1:10">
      <c r="A15" s="68"/>
      <c r="B15" s="69" t="s">
        <v>20</v>
      </c>
      <c r="C15" s="70" t="s">
        <v>23</v>
      </c>
      <c r="D15" s="71" t="s">
        <v>28</v>
      </c>
      <c r="E15" s="83" t="s">
        <v>50</v>
      </c>
      <c r="F15" s="72">
        <v>2.12</v>
      </c>
      <c r="G15" s="73">
        <f>62.4*78/30</f>
        <v>162.23999999999998</v>
      </c>
      <c r="H15" s="73">
        <f>2.4*37/30</f>
        <v>2.96</v>
      </c>
      <c r="I15" s="73">
        <f>0.45*37/30</f>
        <v>0.55500000000000005</v>
      </c>
      <c r="J15" s="74">
        <f>11.37*37/30</f>
        <v>14.023</v>
      </c>
    </row>
    <row r="16" spans="1:10">
      <c r="A16" s="68"/>
      <c r="B16" s="84" t="s">
        <v>18</v>
      </c>
      <c r="C16" s="77" t="s">
        <v>23</v>
      </c>
      <c r="D16" s="78" t="s">
        <v>24</v>
      </c>
      <c r="E16" s="85" t="s">
        <v>50</v>
      </c>
      <c r="F16" s="79">
        <f>54.17*0.03</f>
        <v>1.6251</v>
      </c>
      <c r="G16" s="80">
        <f>60*36/30</f>
        <v>72</v>
      </c>
      <c r="H16" s="80">
        <f>1.47*36/30</f>
        <v>1.764</v>
      </c>
      <c r="I16" s="80">
        <f>0.3*36/30</f>
        <v>0.36</v>
      </c>
      <c r="J16" s="81">
        <f>13.44*36/30</f>
        <v>16.128</v>
      </c>
    </row>
    <row r="17" spans="1:10" ht="15" thickBot="1">
      <c r="A17" s="86"/>
      <c r="B17" s="87"/>
      <c r="C17" s="88"/>
      <c r="D17" s="88"/>
      <c r="E17" s="89"/>
      <c r="F17" s="90">
        <f>SUM(F11:F16)</f>
        <v>78.002509777777789</v>
      </c>
      <c r="G17" s="91">
        <f>SUM(G11:G16)</f>
        <v>746.22666666666657</v>
      </c>
      <c r="H17" s="91">
        <f>SUM(H11:H16)</f>
        <v>25.057333333333332</v>
      </c>
      <c r="I17" s="91">
        <f>SUM(I11:I16)</f>
        <v>25.644999999999996</v>
      </c>
      <c r="J17" s="92">
        <f>SUM(J11:J16)</f>
        <v>83.574333333333328</v>
      </c>
    </row>
    <row r="18" spans="1:10" ht="34.950000000000003" customHeight="1" thickBot="1">
      <c r="A18" s="63"/>
      <c r="B18" s="93" t="s">
        <v>15</v>
      </c>
      <c r="C18" s="94">
        <v>28</v>
      </c>
      <c r="D18" s="95" t="s">
        <v>49</v>
      </c>
      <c r="E18" s="96" t="s">
        <v>48</v>
      </c>
      <c r="F18" s="97">
        <f>14.9*240/250+2.16+6.49*0.5</f>
        <v>19.709</v>
      </c>
      <c r="G18" s="13">
        <v>148.25</v>
      </c>
      <c r="H18" s="13">
        <v>2.2200000000000002</v>
      </c>
      <c r="I18" s="13">
        <v>6.35</v>
      </c>
      <c r="J18" s="14">
        <v>20.66</v>
      </c>
    </row>
    <row r="19" spans="1:10">
      <c r="A19" s="68"/>
      <c r="B19" s="69" t="s">
        <v>16</v>
      </c>
      <c r="C19" s="65">
        <v>58</v>
      </c>
      <c r="D19" s="66" t="s">
        <v>46</v>
      </c>
      <c r="E19" s="82" t="s">
        <v>53</v>
      </c>
      <c r="F19" s="67">
        <f>54.26*80/90</f>
        <v>48.231111111111112</v>
      </c>
      <c r="G19" s="13">
        <v>257.39999999999998</v>
      </c>
      <c r="H19" s="13">
        <v>16.02</v>
      </c>
      <c r="I19" s="13">
        <v>15.75</v>
      </c>
      <c r="J19" s="14">
        <v>12.87</v>
      </c>
    </row>
    <row r="20" spans="1:10" ht="28.8">
      <c r="A20" s="68"/>
      <c r="B20" s="69"/>
      <c r="C20" s="70">
        <v>16</v>
      </c>
      <c r="D20" s="71" t="s">
        <v>47</v>
      </c>
      <c r="E20" s="83" t="s">
        <v>55</v>
      </c>
      <c r="F20" s="41">
        <f>5.94*100/75+10.75*50/75</f>
        <v>15.086666666666666</v>
      </c>
      <c r="G20" s="13">
        <v>150</v>
      </c>
      <c r="H20" s="13">
        <v>3.24</v>
      </c>
      <c r="I20" s="13">
        <v>7.58</v>
      </c>
      <c r="J20" s="14">
        <v>18.87</v>
      </c>
    </row>
    <row r="21" spans="1:10">
      <c r="A21" s="68"/>
      <c r="B21" s="69" t="s">
        <v>17</v>
      </c>
      <c r="C21" s="70">
        <v>57</v>
      </c>
      <c r="D21" s="71" t="s">
        <v>39</v>
      </c>
      <c r="E21" s="83">
        <v>200</v>
      </c>
      <c r="F21" s="72">
        <v>1.41</v>
      </c>
      <c r="G21" s="13">
        <v>41</v>
      </c>
      <c r="H21" s="13">
        <v>0</v>
      </c>
      <c r="I21" s="13">
        <v>0</v>
      </c>
      <c r="J21" s="14">
        <v>10.01</v>
      </c>
    </row>
    <row r="22" spans="1:10">
      <c r="A22" s="68"/>
      <c r="B22" s="69" t="s">
        <v>27</v>
      </c>
      <c r="C22" s="70" t="s">
        <v>23</v>
      </c>
      <c r="D22" s="71" t="s">
        <v>28</v>
      </c>
      <c r="E22" s="83" t="s">
        <v>58</v>
      </c>
      <c r="F22" s="72">
        <v>3.13</v>
      </c>
      <c r="G22" s="73">
        <f>62.4*43/30</f>
        <v>89.44</v>
      </c>
      <c r="H22" s="73">
        <f>2.4*43/30</f>
        <v>3.44</v>
      </c>
      <c r="I22" s="73">
        <f>0.45*43/30</f>
        <v>0.64500000000000002</v>
      </c>
      <c r="J22" s="74">
        <f>11.37*43/30</f>
        <v>16.297000000000001</v>
      </c>
    </row>
    <row r="23" spans="1:10">
      <c r="A23" s="68"/>
      <c r="B23" s="69" t="s">
        <v>20</v>
      </c>
      <c r="C23" s="77" t="s">
        <v>23</v>
      </c>
      <c r="D23" s="78" t="s">
        <v>24</v>
      </c>
      <c r="E23" s="85" t="s">
        <v>58</v>
      </c>
      <c r="F23" s="79">
        <f>54.17*0.045</f>
        <v>2.4376500000000001</v>
      </c>
      <c r="G23" s="80">
        <f>60*43/30</f>
        <v>86</v>
      </c>
      <c r="H23" s="80">
        <f>1.47*43/30</f>
        <v>2.1070000000000002</v>
      </c>
      <c r="I23" s="80">
        <f>0.3*43/30</f>
        <v>0.43</v>
      </c>
      <c r="J23" s="81">
        <f>13.44*43/30</f>
        <v>19.263999999999999</v>
      </c>
    </row>
    <row r="24" spans="1:10" ht="15" thickBot="1">
      <c r="A24" s="86"/>
      <c r="B24" s="87"/>
      <c r="C24" s="88"/>
      <c r="D24" s="88"/>
      <c r="E24" s="89"/>
      <c r="F24" s="90">
        <f>SUM(F18:F23)</f>
        <v>90.004427777777764</v>
      </c>
      <c r="G24" s="91">
        <f>SUM(G19:G23)</f>
        <v>623.83999999999992</v>
      </c>
      <c r="H24" s="91">
        <f>SUM(H19:H23)</f>
        <v>24.806999999999999</v>
      </c>
      <c r="I24" s="91">
        <f>SUM(I19:I23)</f>
        <v>24.404999999999998</v>
      </c>
      <c r="J24" s="92">
        <f>SUM(J19:J23)</f>
        <v>77.310999999999993</v>
      </c>
    </row>
    <row r="25" spans="1:10" s="1" customFormat="1">
      <c r="E25" s="30"/>
    </row>
    <row r="26" spans="1:10" s="1" customFormat="1">
      <c r="A26" s="51" t="s">
        <v>34</v>
      </c>
      <c r="E26" s="30"/>
    </row>
    <row r="27" spans="1:10" s="1" customFormat="1">
      <c r="E27" s="30"/>
    </row>
    <row r="28" spans="1:10" s="1" customFormat="1">
      <c r="A28" s="51" t="s">
        <v>35</v>
      </c>
      <c r="E28" s="30"/>
    </row>
    <row r="29" spans="1:10" s="1" customFormat="1">
      <c r="E29" s="3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2021-09-02T08:11:31Z</cp:lastPrinted>
  <dcterms:created xsi:type="dcterms:W3CDTF">2015-06-05T18:19:34Z</dcterms:created>
  <dcterms:modified xsi:type="dcterms:W3CDTF">2021-10-28T07:15:22Z</dcterms:modified>
</cp:coreProperties>
</file>